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 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<sst xmlns="http://schemas.openxmlformats.org/spreadsheetml/2006/main" count="1017" uniqueCount="237">
  <si>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</si>
  <si>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</si>
  <si>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</si>
  <si>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</si>
  <si>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</si>
  <si>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</si>
  <si>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</si>
  <si>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</si>
  <si>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</si>
  <si>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</si>
  <si>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</si>
  <si>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</si>
  <si>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</si>
  <si>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</si>
  <si>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</si>
  <si>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</si>
  <si>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</si>
  <si>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</si>
  <si>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</si>
  <si>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</si>
  <si>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</si>
  <si>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</si>
  <si>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</si>
  <si>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</si>
  <si>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</si>
  <si>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</si>
  <si>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</si>
  <si>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</si>
  <si>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</si>
  <si>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</si>
  <si>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</si>
  <si>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</si>
  <si>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</si>
  <si>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</si>
  <si>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</si>
  <si>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</si>
  <si>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</si>
  <si>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</si>
  <si>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</si>
  <si>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</si>
  <si>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</si>
  <si>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</si>
  <si>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</si>
  <si>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</si>
  <si>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</si>
  <si>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</si>
  <si>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</si>
  <si>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</si>
  <si>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</si>
  <si>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</si>
  <si>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</si>
  <si>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</si>
  <si>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</si>
  <si>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</si>
  <si>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</si>
  <si>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</si>
  <si>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</si>
  <si>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</si>
  <si>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</si>
  <si>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</si>
  <si>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</si>
  <si>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</si>
  <si>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</si>
  <si>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</si>
  <si>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</si>
  <si>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</si>
  <si>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</si>
  <si>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</si>
  <si>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</si>
  <si>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</si>
  <si>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</si>
  <si>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</si>
  <si>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</si>
  <si>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</si>
  <si>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</si>
  <si>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</si>
  <si>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</si>
  <si>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</si>
  <si>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</si>
  <si>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</si>
  <si>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</si>
  <si>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</si>
  <si>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</si>
  <si>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</si>
  <si>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</si>
  <si>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</si>
  <si>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</si>
  <si>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</si>
  <si>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</si>
  <si>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</si>
  <si>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</si>
  <si>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</si>
  <si>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</si>
  <si>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</si>
  <si>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</si>
  <si>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</si>
  <si>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</si>
  <si>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</si>
  <si>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</si>
  <si>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</si>
  <si>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</si>
  <si>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</si>
  <si>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</si>
  <si>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</si>
  <si>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</si>
  <si>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</si>
  <si>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</si>
  <si>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</si>
  <si>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</si>
  <si>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</si>
  <si>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</si>
  <si>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</si>
  <si>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</si>
  <si>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</si>
  <si>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</si>
  <si>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</si>
  <si>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</si>
  <si>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</si>
  <si>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</si>
  <si>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</si>
  <si>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</si>
  <si>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</si>
  <si>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</si>
  <si>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</si>
  <si>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</si>
  <si>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</si>
  <si>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</si>
  <si>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</si>
  <si>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</si>
  <si>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</si>
  <si>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</si>
  <si>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</si>
  <si>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</si>
  <si>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</si>
  <si>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</si>
  <si>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</si>
  <si>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</si>
  <si>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</si>
  <si>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</si>
  <si>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</si>
  <si>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</si>
  <si>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</si>
  <si>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</si>
  <si>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</si>
  <si>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</si>
  <si>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</si>
  <si>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</si>
  <si>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</si>
  <si>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</si>
  <si>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</si>
  <si>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</si>
  <si>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</si>
  <si>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</si>
  <si>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</si>
  <si>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</si>
  <si>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</si>
  <si>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</si>
  <si>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</si>
  <si>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</si>
  <si>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</si>
  <si>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</si>
  <si>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</si>
  <si>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</si>
  <si>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</si>
  <si>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</si>
  <si>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</si>
  <si>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</si>
  <si>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</si>
  <si>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</si>
  <si>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</si>
  <si>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</si>
  <si>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</si>
  <si>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</si>
  <si>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</si>
  <si>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</si>
  <si>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</si>
  <si>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</si>
  <si>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</si>
  <si>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</si>
  <si>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</si>
  <si>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</si>
  <si>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</si>
  <si>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</si>
  <si>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</si>
  <si>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</si>
  <si>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</si>
  <si>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</si>
  <si>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</si>
  <si>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</si>
  <si>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</si>
  <si>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</si>
  <si>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</si>
  <si>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</si>
  <si>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</si>
  <si>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</si>
  <si>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</si>
  <si>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</si>
  <si>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</si>
  <si>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</si>
  <si>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</si>
  <si>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</si>
  <si>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</si>
  <si>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</si>
  <si>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</si>
  <si>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</si>
  <si>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</si>
  <si>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</si>
  <si>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</si>
  <si>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</si>
  <si>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</si>
  <si>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</si>
  <si>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</si>
  <si>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</si>
  <si>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</si>
  <si>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</si>
  <si>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</si>
  <si>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</si>
  <si>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</si>
  <si>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</si>
  <si>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</si>
  <si>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</si>
  <si>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</si>
  <si>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</si>
  <si>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</si>
  <si>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</si>
  <si>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</si>
  <si>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</si>
  <si>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</si>
  <si>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</si>
  <si>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</si>
  <si>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</si>
  <si>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</si>
  <si>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</si>
  <si>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</si>
  <si>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</si>
  <si>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27.05.2014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</si>
  <si>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26.05.14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</si>
</sst>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2" xfId="22" applyNumberFormat="1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2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2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5"/>
      <sheetName val="депозит"/>
      <sheetName val="залишки  (2)"/>
      <sheetName val="надх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6">
          <cell r="G6">
            <v>120216714.08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106391492.12</v>
          </cell>
        </row>
      </sheetData>
      <sheetData sheetId="13">
        <row r="52">
          <cell r="B52">
            <v>3451108.389999997</v>
          </cell>
        </row>
      </sheetData>
      <sheetData sheetId="16">
        <row r="28">
          <cell r="C28">
            <v>4870376.3</v>
          </cell>
        </row>
      </sheetData>
      <sheetData sheetId="17">
        <row r="28">
          <cell r="C28">
            <v>3219411</v>
          </cell>
        </row>
      </sheetData>
      <sheetData sheetId="18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D147" sqref="D147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9" t="s">
        <v>235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26"/>
      <c r="R1" s="127"/>
    </row>
    <row r="2" spans="2:18" s="1" customFormat="1" ht="15.75" customHeight="1">
      <c r="B2" s="190"/>
      <c r="C2" s="190"/>
      <c r="D2" s="19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1"/>
      <c r="B3" s="193"/>
      <c r="C3" s="194" t="s">
        <v>0</v>
      </c>
      <c r="D3" s="195" t="s">
        <v>224</v>
      </c>
      <c r="E3" s="195"/>
      <c r="F3" s="196" t="s">
        <v>107</v>
      </c>
      <c r="G3" s="197"/>
      <c r="H3" s="197"/>
      <c r="I3" s="197"/>
      <c r="J3" s="197"/>
      <c r="K3" s="197"/>
      <c r="L3" s="198"/>
      <c r="M3" s="199" t="s">
        <v>225</v>
      </c>
      <c r="N3" s="201" t="s">
        <v>233</v>
      </c>
      <c r="O3" s="201"/>
      <c r="P3" s="201"/>
      <c r="Q3" s="201"/>
      <c r="R3" s="201"/>
    </row>
    <row r="4" spans="1:18" ht="22.5" customHeight="1">
      <c r="A4" s="191"/>
      <c r="B4" s="193"/>
      <c r="C4" s="194"/>
      <c r="D4" s="195"/>
      <c r="E4" s="195"/>
      <c r="F4" s="202" t="s">
        <v>116</v>
      </c>
      <c r="G4" s="183" t="s">
        <v>229</v>
      </c>
      <c r="H4" s="185" t="s">
        <v>230</v>
      </c>
      <c r="I4" s="181" t="s">
        <v>188</v>
      </c>
      <c r="J4" s="187" t="s">
        <v>189</v>
      </c>
      <c r="K4" s="176" t="s">
        <v>231</v>
      </c>
      <c r="L4" s="177"/>
      <c r="M4" s="200"/>
      <c r="N4" s="163" t="s">
        <v>236</v>
      </c>
      <c r="O4" s="181" t="s">
        <v>136</v>
      </c>
      <c r="P4" s="181" t="s">
        <v>135</v>
      </c>
      <c r="Q4" s="176" t="s">
        <v>234</v>
      </c>
      <c r="R4" s="177"/>
    </row>
    <row r="5" spans="1:18" ht="82.5" customHeight="1">
      <c r="A5" s="192"/>
      <c r="B5" s="193"/>
      <c r="C5" s="194"/>
      <c r="D5" s="150" t="s">
        <v>209</v>
      </c>
      <c r="E5" s="158" t="s">
        <v>228</v>
      </c>
      <c r="F5" s="203"/>
      <c r="G5" s="184"/>
      <c r="H5" s="186"/>
      <c r="I5" s="182"/>
      <c r="J5" s="188"/>
      <c r="K5" s="178"/>
      <c r="L5" s="179"/>
      <c r="M5" s="151" t="s">
        <v>232</v>
      </c>
      <c r="N5" s="180"/>
      <c r="O5" s="182"/>
      <c r="P5" s="182"/>
      <c r="Q5" s="178"/>
      <c r="R5" s="17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172405.51</v>
      </c>
      <c r="G8" s="22">
        <f aca="true" t="shared" si="0" ref="G8:G30">F8-E8</f>
        <v>-19265.54999999999</v>
      </c>
      <c r="H8" s="51">
        <f>F8/E8*100</f>
        <v>89.94863909032486</v>
      </c>
      <c r="I8" s="36">
        <f aca="true" t="shared" si="1" ref="I8:I17">F8-D8</f>
        <v>-316070.79</v>
      </c>
      <c r="J8" s="36">
        <f aca="true" t="shared" si="2" ref="J8:J14">F8/D8*100</f>
        <v>35.294549602508866</v>
      </c>
      <c r="K8" s="36">
        <f>F8-187134.8</f>
        <v>-14729.289999999979</v>
      </c>
      <c r="L8" s="136">
        <f>F8/187134.8</f>
        <v>0.9212904815138607</v>
      </c>
      <c r="M8" s="22">
        <f>M10+M19+M33+M56+M68+M30</f>
        <v>37449.96999999999</v>
      </c>
      <c r="N8" s="22">
        <f>N10+N19+N33+N56+N68+N30</f>
        <v>26643.749999999996</v>
      </c>
      <c r="O8" s="36">
        <f aca="true" t="shared" si="3" ref="O8:O71">N8-M8</f>
        <v>-10806.21999999999</v>
      </c>
      <c r="P8" s="36">
        <f>F8/M8*100</f>
        <v>460.3622112380866</v>
      </c>
      <c r="Q8" s="36">
        <f>N8-36022.2</f>
        <v>-9378.45</v>
      </c>
      <c r="R8" s="134">
        <f>N8/36022.2</f>
        <v>0.7396480503689391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140903.86</v>
      </c>
      <c r="G9" s="22">
        <f t="shared" si="0"/>
        <v>140903.86</v>
      </c>
      <c r="H9" s="20"/>
      <c r="I9" s="56">
        <f t="shared" si="1"/>
        <v>-246109.34000000003</v>
      </c>
      <c r="J9" s="56">
        <f t="shared" si="2"/>
        <v>36.40802432578526</v>
      </c>
      <c r="K9" s="56"/>
      <c r="L9" s="135"/>
      <c r="M9" s="20">
        <f>M10+M17</f>
        <v>30408.59999999999</v>
      </c>
      <c r="N9" s="20">
        <f>N10+N17</f>
        <v>23783.709999999992</v>
      </c>
      <c r="O9" s="36">
        <f t="shared" si="3"/>
        <v>-6624.889999999999</v>
      </c>
      <c r="P9" s="56">
        <f>F9/M9*100</f>
        <v>463.3684549765528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140903.86</v>
      </c>
      <c r="G10" s="49">
        <f t="shared" si="0"/>
        <v>-15207.940000000002</v>
      </c>
      <c r="H10" s="40">
        <f aca="true" t="shared" si="4" ref="H10:H17">F10/E10*100</f>
        <v>90.25830206300868</v>
      </c>
      <c r="I10" s="56">
        <f t="shared" si="1"/>
        <v>-246109.34000000003</v>
      </c>
      <c r="J10" s="56">
        <f t="shared" si="2"/>
        <v>36.40802432578526</v>
      </c>
      <c r="K10" s="141">
        <f>F10-145839</f>
        <v>-4935.140000000014</v>
      </c>
      <c r="L10" s="142">
        <f>F10/145839</f>
        <v>0.9661603549119233</v>
      </c>
      <c r="M10" s="40">
        <f>E10-квітень!E10</f>
        <v>30408.59999999999</v>
      </c>
      <c r="N10" s="40">
        <f>F10-квітень!F10</f>
        <v>23783.709999999992</v>
      </c>
      <c r="O10" s="53">
        <f t="shared" si="3"/>
        <v>-6624.889999999999</v>
      </c>
      <c r="P10" s="56">
        <f aca="true" t="shared" si="5" ref="P10:P17">N10/M10*100</f>
        <v>78.21376189630564</v>
      </c>
      <c r="Q10" s="141">
        <f>N10-28567.7</f>
        <v>-4783.990000000009</v>
      </c>
      <c r="R10" s="142">
        <f>N10/28567.7</f>
        <v>0.8325384962737634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622.89</v>
      </c>
      <c r="G19" s="49">
        <f t="shared" si="0"/>
        <v>-388.71000000000004</v>
      </c>
      <c r="H19" s="40">
        <f aca="true" t="shared" si="6" ref="H19:H29">F19/E19*100</f>
        <v>61.57473309608541</v>
      </c>
      <c r="I19" s="56">
        <f aca="true" t="shared" si="7" ref="I19:I29">F19-D19</f>
        <v>-377.11</v>
      </c>
      <c r="J19" s="56">
        <f aca="true" t="shared" si="8" ref="J19:J29">F19/D19*100</f>
        <v>62.288999999999994</v>
      </c>
      <c r="K19" s="56">
        <f>F19-5155.1</f>
        <v>-4532.21</v>
      </c>
      <c r="L19" s="135">
        <f>F19/5155.1</f>
        <v>0.1208298578107117</v>
      </c>
      <c r="M19" s="40">
        <f>E19-квітень!E19</f>
        <v>12</v>
      </c>
      <c r="N19" s="40">
        <f>F19-квітень!F19</f>
        <v>69.97000000000003</v>
      </c>
      <c r="O19" s="53">
        <f t="shared" si="3"/>
        <v>57.97000000000003</v>
      </c>
      <c r="P19" s="56">
        <f aca="true" t="shared" si="9" ref="P19:P29">N19/M19*100</f>
        <v>583.0833333333335</v>
      </c>
      <c r="Q19" s="56">
        <f>N19-419.2</f>
        <v>-349.22999999999996</v>
      </c>
      <c r="R19" s="135">
        <f>N19/419.2</f>
        <v>0.16691316793893138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783.18</v>
      </c>
      <c r="G29" s="49">
        <f t="shared" si="0"/>
        <v>31.579999999999927</v>
      </c>
      <c r="H29" s="40">
        <f t="shared" si="6"/>
        <v>104.20170303352847</v>
      </c>
      <c r="I29" s="56">
        <f t="shared" si="7"/>
        <v>-146.82000000000005</v>
      </c>
      <c r="J29" s="56">
        <f t="shared" si="8"/>
        <v>84.21290322580644</v>
      </c>
      <c r="K29" s="148">
        <f>F29-1598.01</f>
        <v>-814.83</v>
      </c>
      <c r="L29" s="149">
        <f>F29/1598.01</f>
        <v>0.4900970582161563</v>
      </c>
      <c r="M29" s="40">
        <f>E29-квітень!E29</f>
        <v>12</v>
      </c>
      <c r="N29" s="40">
        <f>F29-квітень!F29</f>
        <v>0</v>
      </c>
      <c r="O29" s="148">
        <f t="shared" si="3"/>
        <v>-12</v>
      </c>
      <c r="P29" s="145">
        <f t="shared" si="9"/>
        <v>0</v>
      </c>
      <c r="Q29" s="148">
        <f>N29-428.5</f>
        <v>-428.5</v>
      </c>
      <c r="R29" s="149">
        <f>N29/428.5</f>
        <v>0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28194.9</v>
      </c>
      <c r="G33" s="49">
        <f aca="true" t="shared" si="14" ref="G33:G72">F33-E33</f>
        <v>-3545.5599999999977</v>
      </c>
      <c r="H33" s="40">
        <f aca="true" t="shared" si="15" ref="H33:H67">F33/E33*100</f>
        <v>88.82952547001524</v>
      </c>
      <c r="I33" s="56">
        <f>F33-D33</f>
        <v>-65371.1</v>
      </c>
      <c r="J33" s="56">
        <f aca="true" t="shared" si="16" ref="J33:J72">F33/D33*100</f>
        <v>30.13370241326978</v>
      </c>
      <c r="K33" s="141">
        <f>F33-33465.8</f>
        <v>-5270.9000000000015</v>
      </c>
      <c r="L33" s="142">
        <f>F33/33465.8</f>
        <v>0.8424989093343055</v>
      </c>
      <c r="M33" s="40">
        <f>E33-квітень!E33</f>
        <v>6469.869999999999</v>
      </c>
      <c r="N33" s="40">
        <f>F33-квітень!F33</f>
        <v>2277.480000000003</v>
      </c>
      <c r="O33" s="53">
        <f t="shared" si="3"/>
        <v>-4192.389999999996</v>
      </c>
      <c r="P33" s="56">
        <f aca="true" t="shared" si="17" ref="P33:P67">N33/M33*100</f>
        <v>35.20132552895195</v>
      </c>
      <c r="Q33" s="141">
        <f>N33-6537.6</f>
        <v>-4260.119999999997</v>
      </c>
      <c r="R33" s="142">
        <f>N33/6537.2</f>
        <v>0.3483876889188037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21248.01</v>
      </c>
      <c r="G55" s="144">
        <f t="shared" si="14"/>
        <v>-2302.1500000000015</v>
      </c>
      <c r="H55" s="146">
        <f t="shared" si="15"/>
        <v>90.22448255128627</v>
      </c>
      <c r="I55" s="145">
        <f t="shared" si="18"/>
        <v>-49017.990000000005</v>
      </c>
      <c r="J55" s="145">
        <f t="shared" si="16"/>
        <v>30.23939031679617</v>
      </c>
      <c r="K55" s="148">
        <f>F55-24232.1</f>
        <v>-2984.09</v>
      </c>
      <c r="L55" s="149">
        <f>F55/24232.1</f>
        <v>0.8768538426302301</v>
      </c>
      <c r="M55" s="40">
        <f>E55-квітень!E55</f>
        <v>4739.869999999999</v>
      </c>
      <c r="N55" s="40">
        <f>F55-квітень!F55</f>
        <v>1852.609999999997</v>
      </c>
      <c r="O55" s="148">
        <f t="shared" si="3"/>
        <v>-2887.260000000002</v>
      </c>
      <c r="P55" s="148">
        <f t="shared" si="17"/>
        <v>39.085671126001294</v>
      </c>
      <c r="Q55" s="160">
        <f>N55-4803.25</f>
        <v>-2950.640000000003</v>
      </c>
      <c r="R55" s="161">
        <f>N55/4803.25</f>
        <v>0.385699266121896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v>2680.07</v>
      </c>
      <c r="G56" s="49">
        <f t="shared" si="14"/>
        <v>-109.02999999999975</v>
      </c>
      <c r="H56" s="40">
        <f t="shared" si="15"/>
        <v>96.09085368039871</v>
      </c>
      <c r="I56" s="56">
        <f t="shared" si="18"/>
        <v>-4179.93</v>
      </c>
      <c r="J56" s="56">
        <f t="shared" si="16"/>
        <v>39.06807580174927</v>
      </c>
      <c r="K56" s="56">
        <f>F56-2649.7</f>
        <v>30.370000000000346</v>
      </c>
      <c r="L56" s="135">
        <f>F56/2649.7</f>
        <v>1.0114616749065932</v>
      </c>
      <c r="M56" s="40">
        <f>E56-квітень!E56</f>
        <v>551</v>
      </c>
      <c r="N56" s="40">
        <f>F56-квітень!F56</f>
        <v>512.5900000000001</v>
      </c>
      <c r="O56" s="53">
        <f t="shared" si="3"/>
        <v>-38.409999999999854</v>
      </c>
      <c r="P56" s="56">
        <f t="shared" si="17"/>
        <v>93.02903811252271</v>
      </c>
      <c r="Q56" s="56">
        <f>N56-497.8</f>
        <v>14.790000000000134</v>
      </c>
      <c r="R56" s="135">
        <f>N56/497.8</f>
        <v>1.0297107271996788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E68-квітень!E68</f>
        <v>0</v>
      </c>
      <c r="N68" s="40">
        <f>F68-квітень!F68</f>
        <v>0</v>
      </c>
      <c r="O68" s="53">
        <f t="shared" si="3"/>
        <v>0</v>
      </c>
      <c r="P68" s="56"/>
      <c r="Q68" s="56">
        <f>N68-0</f>
        <v>0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5262.579999999999</v>
      </c>
      <c r="G74" s="50">
        <f aca="true" t="shared" si="24" ref="G74:G92">F74-E74</f>
        <v>-665.420000000001</v>
      </c>
      <c r="H74" s="51">
        <f aca="true" t="shared" si="25" ref="H74:H87">F74/E74*100</f>
        <v>88.77496626180836</v>
      </c>
      <c r="I74" s="36">
        <f aca="true" t="shared" si="26" ref="I74:I92">F74-D74</f>
        <v>-13095.720000000001</v>
      </c>
      <c r="J74" s="36">
        <f aca="true" t="shared" si="27" ref="J74:J92">F74/D74*100</f>
        <v>28.66594401442399</v>
      </c>
      <c r="K74" s="36">
        <f>F74-5538.5</f>
        <v>-275.920000000001</v>
      </c>
      <c r="L74" s="136">
        <f>F74/7538.5</f>
        <v>0.6980937852357895</v>
      </c>
      <c r="M74" s="22">
        <f>M77+M86+M88+M89+M94+M95+M96+M97+M99+M87+M103</f>
        <v>1480.5</v>
      </c>
      <c r="N74" s="22">
        <f>N77+N86+N88+N89+N94+N95+N96+N97+N99+N32+N103+N87</f>
        <v>1076.2599999999998</v>
      </c>
      <c r="O74" s="55">
        <f aca="true" t="shared" si="28" ref="O74:O92">N74-M74</f>
        <v>-404.24000000000024</v>
      </c>
      <c r="P74" s="36">
        <f>N74/M74*100</f>
        <v>72.69571090847685</v>
      </c>
      <c r="Q74" s="36">
        <f>N74-2163.7</f>
        <v>-1087.44</v>
      </c>
      <c r="R74" s="136">
        <f>N74/2163.7</f>
        <v>0.4974164625410176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104.09</v>
      </c>
      <c r="G77" s="49">
        <f t="shared" si="24"/>
        <v>44.09</v>
      </c>
      <c r="H77" s="40">
        <f t="shared" si="25"/>
        <v>173.48333333333335</v>
      </c>
      <c r="I77" s="56">
        <f t="shared" si="26"/>
        <v>-395.90999999999997</v>
      </c>
      <c r="J77" s="56">
        <f t="shared" si="27"/>
        <v>20.818</v>
      </c>
      <c r="K77" s="56">
        <f>F77-1633.9</f>
        <v>-1529.8100000000002</v>
      </c>
      <c r="L77" s="135">
        <f>F77/1633.9</f>
        <v>0.06370646918416059</v>
      </c>
      <c r="M77" s="40">
        <f>E77-квітень!E77</f>
        <v>50</v>
      </c>
      <c r="N77" s="40">
        <f>F77-квітень!F77</f>
        <v>82.22</v>
      </c>
      <c r="O77" s="53">
        <f t="shared" si="28"/>
        <v>32.22</v>
      </c>
      <c r="P77" s="56">
        <f aca="true" t="shared" si="29" ref="P77:P87">N77/M77*100</f>
        <v>164.44</v>
      </c>
      <c r="Q77" s="56">
        <f>N77-291.7</f>
        <v>-209.48</v>
      </c>
      <c r="R77" s="135">
        <f>N77/291.7</f>
        <v>0.28186492972231747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44.83</v>
      </c>
      <c r="G89" s="49">
        <f t="shared" si="24"/>
        <v>-24.17</v>
      </c>
      <c r="H89" s="40">
        <f>F89/E89*100</f>
        <v>64.97101449275362</v>
      </c>
      <c r="I89" s="56">
        <f t="shared" si="26"/>
        <v>-130.17000000000002</v>
      </c>
      <c r="J89" s="56">
        <f t="shared" si="27"/>
        <v>25.617142857142856</v>
      </c>
      <c r="K89" s="56">
        <f>F89-73.4</f>
        <v>-28.570000000000007</v>
      </c>
      <c r="L89" s="135">
        <f>F89/73.4</f>
        <v>0.6107629427792914</v>
      </c>
      <c r="M89" s="40">
        <f>E89-квітень!E89</f>
        <v>15</v>
      </c>
      <c r="N89" s="40">
        <f>F89-квітень!F89</f>
        <v>10.39</v>
      </c>
      <c r="O89" s="53">
        <f t="shared" si="28"/>
        <v>-4.609999999999999</v>
      </c>
      <c r="P89" s="56">
        <f>N89/M89*100</f>
        <v>69.26666666666667</v>
      </c>
      <c r="Q89" s="56">
        <f>N89-7.1</f>
        <v>3.290000000000001</v>
      </c>
      <c r="R89" s="135">
        <f>N89/7.1</f>
        <v>1.463380281690141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2961.31</v>
      </c>
      <c r="G95" s="49">
        <f t="shared" si="31"/>
        <v>4.809999999999945</v>
      </c>
      <c r="H95" s="40">
        <f>F95/E95*100</f>
        <v>100.16269237273802</v>
      </c>
      <c r="I95" s="56">
        <f t="shared" si="32"/>
        <v>-4038.69</v>
      </c>
      <c r="J95" s="56">
        <f>F95/D95*100</f>
        <v>42.30442857142857</v>
      </c>
      <c r="K95" s="56">
        <f>F95-2948.4</f>
        <v>12.909999999999854</v>
      </c>
      <c r="L95" s="135">
        <f>F95/2948.4</f>
        <v>1.0043786460453126</v>
      </c>
      <c r="M95" s="40">
        <f>E95-квітень!E95</f>
        <v>575</v>
      </c>
      <c r="N95" s="40">
        <f>F95-квітень!F95</f>
        <v>578.7799999999997</v>
      </c>
      <c r="O95" s="53">
        <f t="shared" si="33"/>
        <v>3.7799999999997453</v>
      </c>
      <c r="P95" s="56">
        <f>N95/M95*100</f>
        <v>100.65739130434778</v>
      </c>
      <c r="Q95" s="56">
        <f>N95-679.2</f>
        <v>-100.4200000000003</v>
      </c>
      <c r="R95" s="135">
        <f>N95/679.2</f>
        <v>0.852149587750294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332.76</v>
      </c>
      <c r="G96" s="49">
        <f t="shared" si="31"/>
        <v>-41.74000000000001</v>
      </c>
      <c r="H96" s="40">
        <f>F96/E96*100</f>
        <v>88.85447263017356</v>
      </c>
      <c r="I96" s="56">
        <f t="shared" si="32"/>
        <v>-867.24</v>
      </c>
      <c r="J96" s="56">
        <f>F96/D96*100</f>
        <v>27.73</v>
      </c>
      <c r="K96" s="56">
        <f>F96-374</f>
        <v>-41.24000000000001</v>
      </c>
      <c r="L96" s="135">
        <f>F96/374</f>
        <v>0.8897326203208555</v>
      </c>
      <c r="M96" s="40">
        <f>E96-квітень!E96</f>
        <v>80</v>
      </c>
      <c r="N96" s="40">
        <f>F96-квітень!F96</f>
        <v>53.170000000000016</v>
      </c>
      <c r="O96" s="53">
        <f t="shared" si="33"/>
        <v>-26.829999999999984</v>
      </c>
      <c r="P96" s="56">
        <f>N96/M96*100</f>
        <v>66.46250000000002</v>
      </c>
      <c r="Q96" s="56">
        <f>N96-68.5</f>
        <v>-15.329999999999984</v>
      </c>
      <c r="R96" s="135">
        <f>N96/68.5</f>
        <v>0.776204379562044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1586.65</v>
      </c>
      <c r="G99" s="49">
        <f t="shared" si="31"/>
        <v>79.65000000000009</v>
      </c>
      <c r="H99" s="40">
        <f>F99/E99*100</f>
        <v>105.28533510285337</v>
      </c>
      <c r="I99" s="56">
        <f t="shared" si="32"/>
        <v>-2986.0499999999997</v>
      </c>
      <c r="J99" s="56">
        <f>F99/D99*100</f>
        <v>34.698318280228314</v>
      </c>
      <c r="K99" s="56">
        <f>F99-1665.9</f>
        <v>-79.25</v>
      </c>
      <c r="L99" s="135">
        <f>F99/1665.9</f>
        <v>0.9524281169337896</v>
      </c>
      <c r="M99" s="40">
        <f>E99-квітень!E99</f>
        <v>330</v>
      </c>
      <c r="N99" s="40">
        <f>F99-квітень!F99</f>
        <v>348.19000000000005</v>
      </c>
      <c r="O99" s="53">
        <f t="shared" si="33"/>
        <v>18.190000000000055</v>
      </c>
      <c r="P99" s="56">
        <f>N99/M99*100</f>
        <v>105.51212121212123</v>
      </c>
      <c r="Q99" s="56">
        <f>N99-671</f>
        <v>-322.80999999999995</v>
      </c>
      <c r="R99" s="135">
        <f>N99/671</f>
        <v>0.5189120715350224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278.8</v>
      </c>
      <c r="G102" s="144"/>
      <c r="H102" s="146"/>
      <c r="I102" s="145"/>
      <c r="J102" s="145"/>
      <c r="K102" s="148">
        <f>F102-184.7</f>
        <v>94.10000000000002</v>
      </c>
      <c r="L102" s="149">
        <f>F102/184.7</f>
        <v>1.5094748240389824</v>
      </c>
      <c r="M102" s="40">
        <f>E102-квітень!E102</f>
        <v>0</v>
      </c>
      <c r="N102" s="40">
        <f>F102-квітень!F102</f>
        <v>43.400000000000006</v>
      </c>
      <c r="O102" s="53"/>
      <c r="P102" s="60"/>
      <c r="Q102" s="60">
        <f>N102-45.1</f>
        <v>-1.6999999999999957</v>
      </c>
      <c r="R102" s="138">
        <f>N102/45.1</f>
        <v>0.9623059866962307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-53.99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11.51</v>
      </c>
      <c r="G104" s="49">
        <f>F104-E104</f>
        <v>-0.6899999999999995</v>
      </c>
      <c r="H104" s="40">
        <f>F104/E104*100</f>
        <v>94.34426229508198</v>
      </c>
      <c r="I104" s="56">
        <f t="shared" si="34"/>
        <v>-33.49</v>
      </c>
      <c r="J104" s="56">
        <f aca="true" t="shared" si="36" ref="J104:J109">F104/D104*100</f>
        <v>25.577777777777776</v>
      </c>
      <c r="K104" s="56">
        <f>F104-13.3</f>
        <v>-1.790000000000001</v>
      </c>
      <c r="L104" s="135">
        <f>F104/13.3</f>
        <v>0.8654135338345864</v>
      </c>
      <c r="M104" s="40">
        <f>E104-квітень!E104</f>
        <v>3</v>
      </c>
      <c r="N104" s="40">
        <f>F104-квітень!F104</f>
        <v>2.5</v>
      </c>
      <c r="O104" s="53">
        <f t="shared" si="35"/>
        <v>-0.5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177679.64</v>
      </c>
      <c r="G106" s="50">
        <f>F106-E106</f>
        <v>-19931.619999999995</v>
      </c>
      <c r="H106" s="51">
        <f>F106/E106*100</f>
        <v>89.91372252775474</v>
      </c>
      <c r="I106" s="36">
        <f t="shared" si="34"/>
        <v>-329199.95999999996</v>
      </c>
      <c r="J106" s="36">
        <f t="shared" si="36"/>
        <v>35.05361825569623</v>
      </c>
      <c r="K106" s="36">
        <f>F106-194689.2</f>
        <v>-17009.559999999998</v>
      </c>
      <c r="L106" s="136">
        <f>F106/194689.2</f>
        <v>0.9126322364055119</v>
      </c>
      <c r="M106" s="22">
        <f>M8+M74+M104+M105</f>
        <v>38933.46999999999</v>
      </c>
      <c r="N106" s="22">
        <f>N8+N74+N104+N105</f>
        <v>27722.509999999995</v>
      </c>
      <c r="O106" s="55">
        <f t="shared" si="35"/>
        <v>-11210.959999999992</v>
      </c>
      <c r="P106" s="36">
        <f>N106/M106*100</f>
        <v>71.20482710634322</v>
      </c>
      <c r="Q106" s="36">
        <f>N106-38187.1</f>
        <v>-10464.590000000004</v>
      </c>
      <c r="R106" s="136">
        <f>N106/38187.1</f>
        <v>0.725965312893621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141236.62</v>
      </c>
      <c r="G107" s="71">
        <f>G10-G18+G96</f>
        <v>-15249.680000000002</v>
      </c>
      <c r="H107" s="72">
        <f>F107/E107*100</f>
        <v>90.25494244544092</v>
      </c>
      <c r="I107" s="52">
        <f t="shared" si="34"/>
        <v>-246976.58000000002</v>
      </c>
      <c r="J107" s="52">
        <f t="shared" si="36"/>
        <v>36.38119981494704</v>
      </c>
      <c r="K107" s="52">
        <f>F107-146288.9</f>
        <v>-5052.279999999999</v>
      </c>
      <c r="L107" s="137">
        <f>F107/146288.9</f>
        <v>0.9654636817967733</v>
      </c>
      <c r="M107" s="71">
        <f>M10-M18+M96</f>
        <v>30488.59999999999</v>
      </c>
      <c r="N107" s="71">
        <f>N10-N18+N96</f>
        <v>23836.87999999999</v>
      </c>
      <c r="O107" s="53">
        <f t="shared" si="35"/>
        <v>-6651.720000000001</v>
      </c>
      <c r="P107" s="52">
        <f>N107/M107*100</f>
        <v>78.18292738925368</v>
      </c>
      <c r="Q107" s="52">
        <f>N107-28646.6</f>
        <v>-4809.720000000008</v>
      </c>
      <c r="R107" s="137">
        <f>N107/28646.6</f>
        <v>0.8321015408460338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36443.02000000002</v>
      </c>
      <c r="G108" s="62">
        <f>F108-E108</f>
        <v>-4681.940000000002</v>
      </c>
      <c r="H108" s="72">
        <f>F108/E108*100</f>
        <v>88.61533239181266</v>
      </c>
      <c r="I108" s="52">
        <f t="shared" si="34"/>
        <v>-82223.37999999995</v>
      </c>
      <c r="J108" s="52">
        <f t="shared" si="36"/>
        <v>30.71047912467221</v>
      </c>
      <c r="K108" s="52">
        <f>F108-48400.3</f>
        <v>-11957.279999999984</v>
      </c>
      <c r="L108" s="137">
        <f>F108/48400.3</f>
        <v>0.7529502916304242</v>
      </c>
      <c r="M108" s="71">
        <f>M106-M107</f>
        <v>8444.869999999995</v>
      </c>
      <c r="N108" s="71">
        <f>N106-N107</f>
        <v>3885.6300000000047</v>
      </c>
      <c r="O108" s="53">
        <f t="shared" si="35"/>
        <v>-4559.239999999991</v>
      </c>
      <c r="P108" s="52">
        <f>N108/M108*100</f>
        <v>46.0117207251267</v>
      </c>
      <c r="Q108" s="52">
        <f>N108-9540.4</f>
        <v>-5654.769999999995</v>
      </c>
      <c r="R108" s="137">
        <f>N108/9540.4</f>
        <v>0.40728166533898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141236.62</v>
      </c>
      <c r="G109" s="111">
        <f>F109-E109</f>
        <v>-9879.779999999999</v>
      </c>
      <c r="H109" s="72">
        <f>F109/E109*100</f>
        <v>93.46213911924848</v>
      </c>
      <c r="I109" s="81">
        <f t="shared" si="34"/>
        <v>-246976.58000000002</v>
      </c>
      <c r="J109" s="52">
        <f t="shared" si="36"/>
        <v>36.38119981494704</v>
      </c>
      <c r="K109" s="52"/>
      <c r="L109" s="137"/>
      <c r="M109" s="72">
        <f>E109-квітень!E109</f>
        <v>30488.59999999999</v>
      </c>
      <c r="N109" s="71">
        <f>N107</f>
        <v>23836.87999999999</v>
      </c>
      <c r="O109" s="118">
        <f t="shared" si="35"/>
        <v>-6651.720000000001</v>
      </c>
      <c r="P109" s="52">
        <f>N109/M109*100</f>
        <v>78.18292738925368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v>472.69</v>
      </c>
      <c r="G114" s="49">
        <f t="shared" si="37"/>
        <v>-896.9099999999999</v>
      </c>
      <c r="H114" s="40">
        <f aca="true" t="shared" si="39" ref="H114:H125">F114/E114*100</f>
        <v>34.5129964953271</v>
      </c>
      <c r="I114" s="60">
        <f t="shared" si="38"/>
        <v>-3198.81</v>
      </c>
      <c r="J114" s="60">
        <f aca="true" t="shared" si="40" ref="J114:J120">F114/D114*100</f>
        <v>12.87457442462209</v>
      </c>
      <c r="K114" s="60">
        <f>F114-1614.9</f>
        <v>-1142.21</v>
      </c>
      <c r="L114" s="138">
        <f>F114/1614.9</f>
        <v>0.2927054306768221</v>
      </c>
      <c r="M114" s="40">
        <f>E114-квітень!E114</f>
        <v>327.5</v>
      </c>
      <c r="N114" s="40">
        <f>F114-квітень!F114</f>
        <v>97.69999999999999</v>
      </c>
      <c r="O114" s="53">
        <f aca="true" t="shared" si="41" ref="O114:O125">N114-M114</f>
        <v>-229.8</v>
      </c>
      <c r="P114" s="60">
        <f>N114/M114*100</f>
        <v>29.832061068702288</v>
      </c>
      <c r="Q114" s="60">
        <f>N114-411.7</f>
        <v>-314</v>
      </c>
      <c r="R114" s="138">
        <f>N114/411.7</f>
        <v>0.2373087199417051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591.09</v>
      </c>
      <c r="G116" s="62">
        <f t="shared" si="37"/>
        <v>-891.0099999999999</v>
      </c>
      <c r="H116" s="72">
        <f t="shared" si="39"/>
        <v>39.88192429660617</v>
      </c>
      <c r="I116" s="61">
        <f t="shared" si="38"/>
        <v>-3348.5099999999998</v>
      </c>
      <c r="J116" s="61">
        <f t="shared" si="40"/>
        <v>15.003807493146514</v>
      </c>
      <c r="K116" s="61">
        <f>F116-1727</f>
        <v>-1135.9099999999999</v>
      </c>
      <c r="L116" s="139">
        <f>F116/1727</f>
        <v>0.3422640416907933</v>
      </c>
      <c r="M116" s="62">
        <f>M114+M115+M113</f>
        <v>349.5</v>
      </c>
      <c r="N116" s="38">
        <f>SUM(N113:N115)</f>
        <v>120.52</v>
      </c>
      <c r="O116" s="61">
        <f t="shared" si="41"/>
        <v>-228.98000000000002</v>
      </c>
      <c r="P116" s="61">
        <f>N116/M116*100</f>
        <v>34.48354792560801</v>
      </c>
      <c r="Q116" s="61">
        <f>N116-432.8</f>
        <v>-312.28000000000003</v>
      </c>
      <c r="R116" s="139">
        <f>N116/432.8</f>
        <v>0.2784658040665434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128.8</v>
      </c>
      <c r="G118" s="49">
        <f t="shared" si="37"/>
        <v>22.30000000000001</v>
      </c>
      <c r="H118" s="40">
        <f t="shared" si="39"/>
        <v>120.93896713615024</v>
      </c>
      <c r="I118" s="60">
        <f t="shared" si="38"/>
        <v>-138.39999999999998</v>
      </c>
      <c r="J118" s="60">
        <f t="shared" si="40"/>
        <v>48.20359281437126</v>
      </c>
      <c r="K118" s="60">
        <f>F118-88.5</f>
        <v>40.30000000000001</v>
      </c>
      <c r="L118" s="138">
        <f>F118/88.5</f>
        <v>1.4553672316384183</v>
      </c>
      <c r="M118" s="40">
        <f>E118-квітень!E118</f>
        <v>0</v>
      </c>
      <c r="N118" s="40">
        <f>F118-квітень!F118</f>
        <v>0.9400000000000119</v>
      </c>
      <c r="O118" s="53">
        <f>N118-M118</f>
        <v>0.9400000000000119</v>
      </c>
      <c r="P118" s="60" t="e">
        <f>N118/M118*100</f>
        <v>#DIV/0!</v>
      </c>
      <c r="Q118" s="60">
        <f>N118-0.1</f>
        <v>0.840000000000012</v>
      </c>
      <c r="R118" s="138">
        <f>N118/0.1</f>
        <v>9.40000000000012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34886.83</v>
      </c>
      <c r="G119" s="49">
        <f t="shared" si="37"/>
        <v>3274.230000000003</v>
      </c>
      <c r="H119" s="40">
        <f t="shared" si="39"/>
        <v>110.35735750934754</v>
      </c>
      <c r="I119" s="53">
        <f t="shared" si="38"/>
        <v>-37089.16</v>
      </c>
      <c r="J119" s="60">
        <f t="shared" si="40"/>
        <v>48.47009398550822</v>
      </c>
      <c r="K119" s="60">
        <f>F119-30022.6</f>
        <v>4864.230000000003</v>
      </c>
      <c r="L119" s="138">
        <f>F119/30022.6</f>
        <v>1.162018945727552</v>
      </c>
      <c r="M119" s="40">
        <f>E119-квітень!E119</f>
        <v>6500</v>
      </c>
      <c r="N119" s="40">
        <f>F119-квітень!F119</f>
        <v>8324.990000000002</v>
      </c>
      <c r="O119" s="53">
        <f t="shared" si="41"/>
        <v>1824.9900000000016</v>
      </c>
      <c r="P119" s="60">
        <f aca="true" t="shared" si="42" ref="P119:P124">N119/M119*100</f>
        <v>128.07676923076926</v>
      </c>
      <c r="Q119" s="60">
        <f>N119-6377.4</f>
        <v>1947.590000000002</v>
      </c>
      <c r="R119" s="138">
        <f>N119/6377.4</f>
        <v>1.3053893436196573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1611.92</v>
      </c>
      <c r="G120" s="49">
        <f t="shared" si="37"/>
        <v>-36.07999999999993</v>
      </c>
      <c r="H120" s="40">
        <f t="shared" si="39"/>
        <v>97.81067961165049</v>
      </c>
      <c r="I120" s="60">
        <f t="shared" si="38"/>
        <v>-8388.08</v>
      </c>
      <c r="J120" s="60">
        <f t="shared" si="40"/>
        <v>16.1192</v>
      </c>
      <c r="K120" s="60">
        <f>F120-436.1</f>
        <v>1175.8200000000002</v>
      </c>
      <c r="L120" s="138">
        <f>F120/436.1</f>
        <v>3.696216464113735</v>
      </c>
      <c r="M120" s="40">
        <f>E120-квітень!E120</f>
        <v>207</v>
      </c>
      <c r="N120" s="40">
        <f>F120-квітень!F120</f>
        <v>176.92000000000007</v>
      </c>
      <c r="O120" s="53">
        <f t="shared" si="41"/>
        <v>-30.079999999999927</v>
      </c>
      <c r="P120" s="60">
        <f t="shared" si="42"/>
        <v>85.46859903381646</v>
      </c>
      <c r="Q120" s="60">
        <f>N120-0</f>
        <v>176.92000000000007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2056.02</v>
      </c>
      <c r="G121" s="49">
        <f t="shared" si="37"/>
        <v>-999.3800000000001</v>
      </c>
      <c r="H121" s="40">
        <f t="shared" si="39"/>
        <v>67.29135301433527</v>
      </c>
      <c r="I121" s="60">
        <f t="shared" si="38"/>
        <v>-21021.98</v>
      </c>
      <c r="J121" s="60">
        <f>F121/D121*100</f>
        <v>8.909004246468498</v>
      </c>
      <c r="K121" s="60">
        <f>F121-7468.7</f>
        <v>-5412.68</v>
      </c>
      <c r="L121" s="138">
        <f>F121/7468.7</f>
        <v>0.27528485546346754</v>
      </c>
      <c r="M121" s="40">
        <f>E121-квітень!E121</f>
        <v>1575.4</v>
      </c>
      <c r="N121" s="40">
        <f>F121-квітень!F121</f>
        <v>568.53</v>
      </c>
      <c r="O121" s="53">
        <f t="shared" si="41"/>
        <v>-1006.8700000000001</v>
      </c>
      <c r="P121" s="60">
        <f t="shared" si="42"/>
        <v>36.0879776564682</v>
      </c>
      <c r="Q121" s="60">
        <f>N121-192.7</f>
        <v>375.83</v>
      </c>
      <c r="R121" s="138">
        <f>N121/192.7</f>
        <v>2.9503373118837573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39384.36</v>
      </c>
      <c r="G123" s="62">
        <f t="shared" si="37"/>
        <v>2289</v>
      </c>
      <c r="H123" s="72">
        <f t="shared" si="39"/>
        <v>106.17058305944462</v>
      </c>
      <c r="I123" s="61">
        <f t="shared" si="38"/>
        <v>-67936.83</v>
      </c>
      <c r="J123" s="61">
        <f>F123/D123*100</f>
        <v>36.69765495518639</v>
      </c>
      <c r="K123" s="61">
        <f>F123-39215.9</f>
        <v>168.45999999999913</v>
      </c>
      <c r="L123" s="139">
        <f>F123/39215.9</f>
        <v>1.004295706588399</v>
      </c>
      <c r="M123" s="62">
        <f>M119+M120+M121+M122+M118</f>
        <v>8471.99</v>
      </c>
      <c r="N123" s="62">
        <f>N119+N120+N121+N122+N118</f>
        <v>9194.900000000003</v>
      </c>
      <c r="O123" s="61">
        <f t="shared" si="41"/>
        <v>722.9100000000035</v>
      </c>
      <c r="P123" s="61">
        <f t="shared" si="42"/>
        <v>108.532942083265</v>
      </c>
      <c r="Q123" s="61">
        <f>N123-6599.8</f>
        <v>2595.100000000003</v>
      </c>
      <c r="R123" s="139">
        <f>N123/6599.8</f>
        <v>1.3932088851177313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5292.26</v>
      </c>
      <c r="G127" s="49">
        <f aca="true" t="shared" si="43" ref="G127:G134">F127-E127</f>
        <v>280.7600000000002</v>
      </c>
      <c r="H127" s="40">
        <f>F127/E127*100</f>
        <v>105.60231467624463</v>
      </c>
      <c r="I127" s="60">
        <f aca="true" t="shared" si="44" ref="I127:I134">F127-D127</f>
        <v>-3407.74</v>
      </c>
      <c r="J127" s="60">
        <f>F127/D127*100</f>
        <v>60.83057471264368</v>
      </c>
      <c r="K127" s="60">
        <f>F127-6289.1</f>
        <v>-996.8400000000001</v>
      </c>
      <c r="L127" s="138">
        <f>F127/6289.1</f>
        <v>0.8414971935571067</v>
      </c>
      <c r="M127" s="40">
        <f>E127-квітень!E127</f>
        <v>2502</v>
      </c>
      <c r="N127" s="40">
        <f>F127-квітень!F127</f>
        <v>2673.8300000000004</v>
      </c>
      <c r="O127" s="53">
        <f aca="true" t="shared" si="45" ref="O127:O134">N127-M127</f>
        <v>171.83000000000038</v>
      </c>
      <c r="P127" s="60">
        <f>N127/M127*100</f>
        <v>106.86770583533173</v>
      </c>
      <c r="Q127" s="60">
        <f>N127-3456.6</f>
        <v>-782.7699999999995</v>
      </c>
      <c r="R127" s="162">
        <f>N127/3456.5</f>
        <v>0.7735657456965139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-0.16</v>
      </c>
      <c r="G128" s="49">
        <f t="shared" si="43"/>
        <v>-0.16</v>
      </c>
      <c r="H128" s="40"/>
      <c r="I128" s="60">
        <f t="shared" si="44"/>
        <v>-0.16</v>
      </c>
      <c r="J128" s="60"/>
      <c r="K128" s="60">
        <f>F128-(-0.5)</f>
        <v>0.33999999999999997</v>
      </c>
      <c r="L128" s="138">
        <f>F128/(-0.5)</f>
        <v>0.32</v>
      </c>
      <c r="M128" s="40">
        <f>E128-квітень!E128</f>
        <v>0</v>
      </c>
      <c r="N128" s="40">
        <f>F128-квітень!F128</f>
        <v>0.11000000000000001</v>
      </c>
      <c r="O128" s="53">
        <f t="shared" si="45"/>
        <v>0.11000000000000001</v>
      </c>
      <c r="P128" s="60"/>
      <c r="Q128" s="60">
        <f>N128-0.1</f>
        <v>0.010000000000000009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5320.570000000001</v>
      </c>
      <c r="G129" s="62">
        <f t="shared" si="43"/>
        <v>287.71000000000095</v>
      </c>
      <c r="H129" s="72">
        <f>F129/E129*100</f>
        <v>105.71663030563141</v>
      </c>
      <c r="I129" s="61">
        <f t="shared" si="44"/>
        <v>-3430.13</v>
      </c>
      <c r="J129" s="61">
        <f>F129/D129*100</f>
        <v>60.80165015370199</v>
      </c>
      <c r="K129" s="61">
        <f>F129-2938.1</f>
        <v>2382.4700000000007</v>
      </c>
      <c r="L129" s="139">
        <f>G129/2938.1</f>
        <v>0.09792382832442767</v>
      </c>
      <c r="M129" s="62">
        <f>M124+M127+M128+M126</f>
        <v>2505</v>
      </c>
      <c r="N129" s="62">
        <f>N124+N127+N128+N126</f>
        <v>2675.0000000000005</v>
      </c>
      <c r="O129" s="61">
        <f t="shared" si="45"/>
        <v>170.00000000000045</v>
      </c>
      <c r="P129" s="61">
        <f>N129/M129*100</f>
        <v>106.7864271457086</v>
      </c>
      <c r="Q129" s="61">
        <f>N129-3458.2</f>
        <v>-783.1999999999994</v>
      </c>
      <c r="R129" s="137">
        <f>N129/3458.2</f>
        <v>0.7735237985078944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12.19</v>
      </c>
      <c r="G130" s="49">
        <f>F130-E130</f>
        <v>3.539999999999999</v>
      </c>
      <c r="H130" s="40">
        <f>F130/E130*100</f>
        <v>140.92485549132948</v>
      </c>
      <c r="I130" s="60">
        <f>F130-D130</f>
        <v>-17.810000000000002</v>
      </c>
      <c r="J130" s="60">
        <f>F130/D130*100</f>
        <v>40.63333333333333</v>
      </c>
      <c r="K130" s="60">
        <f>F130-9.3</f>
        <v>2.889999999999999</v>
      </c>
      <c r="L130" s="138">
        <f>F130/9.3</f>
        <v>1.3107526881720428</v>
      </c>
      <c r="M130" s="40">
        <f>E130-квітень!E130</f>
        <v>0.40000000000000036</v>
      </c>
      <c r="N130" s="40">
        <f>F130-квітень!F130</f>
        <v>0</v>
      </c>
      <c r="O130" s="53">
        <f>N130-M130</f>
        <v>-0.40000000000000036</v>
      </c>
      <c r="P130" s="60">
        <f>N130/M130*100</f>
        <v>0</v>
      </c>
      <c r="Q130" s="60">
        <f>N130-0.5</f>
        <v>-0.5</v>
      </c>
      <c r="R130" s="138">
        <f>N130/0.5</f>
        <v>0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45308.21</v>
      </c>
      <c r="G133" s="50">
        <f t="shared" si="43"/>
        <v>1689.239999999998</v>
      </c>
      <c r="H133" s="51">
        <f>F133/E133*100</f>
        <v>103.8727186818029</v>
      </c>
      <c r="I133" s="36">
        <f t="shared" si="44"/>
        <v>-74733.28</v>
      </c>
      <c r="J133" s="36">
        <f>F133/D133*100</f>
        <v>37.74379175066887</v>
      </c>
      <c r="K133" s="36">
        <f>F133-47348.4</f>
        <v>-2040.1900000000023</v>
      </c>
      <c r="L133" s="136">
        <f>F133/47348.4</f>
        <v>0.9569111099847091</v>
      </c>
      <c r="M133" s="31">
        <f>M116+M130+M123+M129+M132+M131</f>
        <v>11326.89</v>
      </c>
      <c r="N133" s="31">
        <f>N116+N130+N123+N129+N132+N131</f>
        <v>11990.420000000004</v>
      </c>
      <c r="O133" s="36">
        <f t="shared" si="45"/>
        <v>663.5300000000043</v>
      </c>
      <c r="P133" s="36">
        <f>N133/M133*100</f>
        <v>105.8580069198165</v>
      </c>
      <c r="Q133" s="36">
        <f>N133-10488.3</f>
        <v>1502.1200000000044</v>
      </c>
      <c r="R133" s="136">
        <f>N133/10488.3</f>
        <v>1.1432186340970418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222987.85</v>
      </c>
      <c r="G134" s="50">
        <f t="shared" si="43"/>
        <v>-18242.380000000005</v>
      </c>
      <c r="H134" s="51">
        <f>F134/E134*100</f>
        <v>92.43777199897376</v>
      </c>
      <c r="I134" s="36">
        <f t="shared" si="44"/>
        <v>-403933.24</v>
      </c>
      <c r="J134" s="36">
        <f>F134/D134*100</f>
        <v>35.56872683929009</v>
      </c>
      <c r="K134" s="36">
        <f>F134-242037.6</f>
        <v>-19049.75</v>
      </c>
      <c r="L134" s="136">
        <f>F134/242037.6</f>
        <v>0.9212942534548351</v>
      </c>
      <c r="M134" s="22">
        <f>M106+M133</f>
        <v>50260.359999999986</v>
      </c>
      <c r="N134" s="22">
        <f>N106+N133</f>
        <v>39712.93</v>
      </c>
      <c r="O134" s="36">
        <f t="shared" si="45"/>
        <v>-10547.429999999986</v>
      </c>
      <c r="P134" s="36">
        <f>N134/M134*100</f>
        <v>79.01441613231583</v>
      </c>
      <c r="Q134" s="36">
        <f>N134-48675.4</f>
        <v>-8962.470000000001</v>
      </c>
      <c r="R134" s="136">
        <f>N134/48675.4</f>
        <v>0.8158726995566549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4</v>
      </c>
      <c r="D136" s="4" t="s">
        <v>118</v>
      </c>
    </row>
    <row r="137" spans="2:17" ht="31.5">
      <c r="B137" s="78" t="s">
        <v>154</v>
      </c>
      <c r="C137" s="39">
        <f>IF(O106&lt;0,ABS(O106/C136),0)</f>
        <v>2802.739999999998</v>
      </c>
      <c r="D137" s="4" t="s">
        <v>104</v>
      </c>
      <c r="G137" s="164"/>
      <c r="H137" s="164"/>
      <c r="I137" s="164"/>
      <c r="J137" s="16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41785</v>
      </c>
      <c r="D138" s="39">
        <v>1059.3</v>
      </c>
      <c r="N138" s="175"/>
      <c r="O138" s="175"/>
    </row>
    <row r="139" spans="3:15" ht="15.75">
      <c r="C139" s="120">
        <v>41782</v>
      </c>
      <c r="D139" s="39">
        <v>1709.9</v>
      </c>
      <c r="F139" s="4" t="s">
        <v>166</v>
      </c>
      <c r="G139" s="171" t="s">
        <v>151</v>
      </c>
      <c r="H139" s="171"/>
      <c r="I139" s="115">
        <f>'[1]залишки  (2)'!$G$9/1000</f>
        <v>13825.22196</v>
      </c>
      <c r="J139" s="172" t="s">
        <v>161</v>
      </c>
      <c r="K139" s="172"/>
      <c r="L139" s="172"/>
      <c r="M139" s="172"/>
      <c r="N139" s="175"/>
      <c r="O139" s="175"/>
    </row>
    <row r="140" spans="3:15" ht="15.75">
      <c r="C140" s="120">
        <v>41781</v>
      </c>
      <c r="D140" s="39">
        <v>2210.7</v>
      </c>
      <c r="G140" s="173" t="s">
        <v>155</v>
      </c>
      <c r="H140" s="173"/>
      <c r="I140" s="112">
        <v>0</v>
      </c>
      <c r="J140" s="174" t="s">
        <v>162</v>
      </c>
      <c r="K140" s="174"/>
      <c r="L140" s="174"/>
      <c r="M140" s="174"/>
      <c r="N140" s="175"/>
      <c r="O140" s="175"/>
    </row>
    <row r="141" spans="7:13" ht="15.75" customHeight="1">
      <c r="G141" s="171" t="s">
        <v>148</v>
      </c>
      <c r="H141" s="171"/>
      <c r="I141" s="112">
        <f>'[1]залишки  (2)'!$G$8/1000</f>
        <v>0</v>
      </c>
      <c r="J141" s="172" t="s">
        <v>163</v>
      </c>
      <c r="K141" s="172"/>
      <c r="L141" s="172"/>
      <c r="M141" s="172"/>
    </row>
    <row r="142" spans="2:13" ht="18.75" customHeight="1">
      <c r="B142" s="169" t="s">
        <v>160</v>
      </c>
      <c r="C142" s="170"/>
      <c r="D142" s="117">
        <f>'[1]залишки  (2)'!$G$6/1000</f>
        <v>120216.71408</v>
      </c>
      <c r="E142" s="80"/>
      <c r="F142" s="100" t="s">
        <v>147</v>
      </c>
      <c r="G142" s="171" t="s">
        <v>149</v>
      </c>
      <c r="H142" s="171"/>
      <c r="I142" s="116">
        <f>'[1]залишки  (2)'!$G$10/1000</f>
        <v>106391.49212000001</v>
      </c>
      <c r="J142" s="172" t="s">
        <v>164</v>
      </c>
      <c r="K142" s="172"/>
      <c r="L142" s="172"/>
      <c r="M142" s="172"/>
    </row>
    <row r="143" spans="7:12" ht="9.75" customHeight="1">
      <c r="G143" s="165"/>
      <c r="H143" s="165"/>
      <c r="I143" s="98"/>
      <c r="J143" s="99"/>
      <c r="K143" s="99"/>
      <c r="L143" s="99"/>
    </row>
    <row r="144" spans="2:12" ht="22.5" customHeight="1">
      <c r="B144" s="166" t="s">
        <v>169</v>
      </c>
      <c r="C144" s="167"/>
      <c r="D144" s="119">
        <f>'[1]надх'!$B$52/1000</f>
        <v>3451.1083899999967</v>
      </c>
      <c r="E144" s="77" t="s">
        <v>104</v>
      </c>
      <c r="G144" s="165"/>
      <c r="H144" s="165"/>
      <c r="I144" s="98"/>
      <c r="J144" s="99"/>
      <c r="K144" s="99"/>
      <c r="L144" s="99"/>
    </row>
    <row r="145" spans="4:15" ht="15.75">
      <c r="D145" s="114"/>
      <c r="N145" s="165"/>
      <c r="O145" s="165"/>
    </row>
    <row r="146" spans="4:15" ht="15.75">
      <c r="D146" s="113"/>
      <c r="I146" s="39"/>
      <c r="N146" s="168"/>
      <c r="O146" s="168"/>
    </row>
    <row r="147" spans="14:15" ht="15.75">
      <c r="N147" s="165"/>
      <c r="O147" s="165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5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88" sqref="E8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89" t="s">
        <v>226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26"/>
      <c r="R1" s="127"/>
    </row>
    <row r="2" spans="2:18" s="1" customFormat="1" ht="15.75" customHeight="1">
      <c r="B2" s="190"/>
      <c r="C2" s="190"/>
      <c r="D2" s="19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1"/>
      <c r="B3" s="193"/>
      <c r="C3" s="194" t="s">
        <v>0</v>
      </c>
      <c r="D3" s="195" t="s">
        <v>224</v>
      </c>
      <c r="E3" s="195"/>
      <c r="F3" s="196" t="s">
        <v>107</v>
      </c>
      <c r="G3" s="197"/>
      <c r="H3" s="197"/>
      <c r="I3" s="197"/>
      <c r="J3" s="197"/>
      <c r="K3" s="197"/>
      <c r="L3" s="198"/>
      <c r="M3" s="199" t="s">
        <v>225</v>
      </c>
      <c r="N3" s="201" t="s">
        <v>221</v>
      </c>
      <c r="O3" s="201"/>
      <c r="P3" s="201"/>
      <c r="Q3" s="201"/>
      <c r="R3" s="201"/>
    </row>
    <row r="4" spans="1:18" ht="22.5" customHeight="1">
      <c r="A4" s="191"/>
      <c r="B4" s="193"/>
      <c r="C4" s="194"/>
      <c r="D4" s="195"/>
      <c r="E4" s="195"/>
      <c r="F4" s="202" t="s">
        <v>116</v>
      </c>
      <c r="G4" s="183" t="s">
        <v>217</v>
      </c>
      <c r="H4" s="185" t="s">
        <v>218</v>
      </c>
      <c r="I4" s="181" t="s">
        <v>188</v>
      </c>
      <c r="J4" s="187" t="s">
        <v>189</v>
      </c>
      <c r="K4" s="176" t="s">
        <v>219</v>
      </c>
      <c r="L4" s="177"/>
      <c r="M4" s="200"/>
      <c r="N4" s="163" t="s">
        <v>227</v>
      </c>
      <c r="O4" s="181" t="s">
        <v>136</v>
      </c>
      <c r="P4" s="181" t="s">
        <v>135</v>
      </c>
      <c r="Q4" s="176" t="s">
        <v>222</v>
      </c>
      <c r="R4" s="177"/>
    </row>
    <row r="5" spans="1:18" ht="82.5" customHeight="1">
      <c r="A5" s="192"/>
      <c r="B5" s="193"/>
      <c r="C5" s="194"/>
      <c r="D5" s="150" t="s">
        <v>209</v>
      </c>
      <c r="E5" s="158" t="s">
        <v>216</v>
      </c>
      <c r="F5" s="203"/>
      <c r="G5" s="184"/>
      <c r="H5" s="186"/>
      <c r="I5" s="182"/>
      <c r="J5" s="188"/>
      <c r="K5" s="178"/>
      <c r="L5" s="179"/>
      <c r="M5" s="151" t="s">
        <v>220</v>
      </c>
      <c r="N5" s="180"/>
      <c r="O5" s="182"/>
      <c r="P5" s="182"/>
      <c r="Q5" s="178"/>
      <c r="R5" s="17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235.4</v>
      </c>
      <c r="G102" s="144"/>
      <c r="H102" s="146"/>
      <c r="I102" s="145"/>
      <c r="J102" s="145"/>
      <c r="K102" s="148">
        <f>F102-139.6</f>
        <v>95.80000000000001</v>
      </c>
      <c r="L102" s="149">
        <f>F102/139.6</f>
        <v>1.686246418338109</v>
      </c>
      <c r="M102" s="40">
        <f>E102-березень!E102</f>
        <v>0</v>
      </c>
      <c r="N102" s="40">
        <f>F102-березень!F102</f>
        <v>62.80000000000001</v>
      </c>
      <c r="O102" s="53"/>
      <c r="P102" s="60"/>
      <c r="Q102" s="60">
        <f>N102-51</f>
        <v>11.800000000000011</v>
      </c>
      <c r="R102" s="138">
        <f>N102/51</f>
        <v>1.2313725490196081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4"/>
      <c r="H137" s="164"/>
      <c r="I137" s="164"/>
      <c r="J137" s="16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75"/>
      <c r="O138" s="175"/>
    </row>
    <row r="139" spans="3:15" ht="15.75">
      <c r="C139" s="120">
        <v>41758</v>
      </c>
      <c r="D139" s="39">
        <v>5440.9</v>
      </c>
      <c r="F139" s="4" t="s">
        <v>166</v>
      </c>
      <c r="G139" s="171" t="s">
        <v>151</v>
      </c>
      <c r="H139" s="171"/>
      <c r="I139" s="115">
        <v>13825.22</v>
      </c>
      <c r="J139" s="172" t="s">
        <v>161</v>
      </c>
      <c r="K139" s="172"/>
      <c r="L139" s="172"/>
      <c r="M139" s="172"/>
      <c r="N139" s="175"/>
      <c r="O139" s="175"/>
    </row>
    <row r="140" spans="3:15" ht="15.75">
      <c r="C140" s="120">
        <v>41757</v>
      </c>
      <c r="D140" s="39">
        <v>1923.2</v>
      </c>
      <c r="G140" s="173" t="s">
        <v>155</v>
      </c>
      <c r="H140" s="173"/>
      <c r="I140" s="112">
        <v>0</v>
      </c>
      <c r="J140" s="174" t="s">
        <v>162</v>
      </c>
      <c r="K140" s="174"/>
      <c r="L140" s="174"/>
      <c r="M140" s="174"/>
      <c r="N140" s="175"/>
      <c r="O140" s="175"/>
    </row>
    <row r="141" spans="7:13" ht="15.75" customHeight="1">
      <c r="G141" s="171" t="s">
        <v>148</v>
      </c>
      <c r="H141" s="171"/>
      <c r="I141" s="112">
        <v>0</v>
      </c>
      <c r="J141" s="172" t="s">
        <v>163</v>
      </c>
      <c r="K141" s="172"/>
      <c r="L141" s="172"/>
      <c r="M141" s="172"/>
    </row>
    <row r="142" spans="2:13" ht="18.75" customHeight="1">
      <c r="B142" s="169" t="s">
        <v>160</v>
      </c>
      <c r="C142" s="170"/>
      <c r="D142" s="117">
        <v>123251.48</v>
      </c>
      <c r="E142" s="80"/>
      <c r="F142" s="100" t="s">
        <v>147</v>
      </c>
      <c r="G142" s="171" t="s">
        <v>149</v>
      </c>
      <c r="H142" s="171"/>
      <c r="I142" s="116">
        <v>109426.25</v>
      </c>
      <c r="J142" s="172" t="s">
        <v>164</v>
      </c>
      <c r="K142" s="172"/>
      <c r="L142" s="172"/>
      <c r="M142" s="172"/>
    </row>
    <row r="143" spans="7:12" ht="9.75" customHeight="1">
      <c r="G143" s="165"/>
      <c r="H143" s="165"/>
      <c r="I143" s="98"/>
      <c r="J143" s="99"/>
      <c r="K143" s="99"/>
      <c r="L143" s="99"/>
    </row>
    <row r="144" spans="2:12" ht="22.5" customHeight="1">
      <c r="B144" s="166" t="s">
        <v>169</v>
      </c>
      <c r="C144" s="167"/>
      <c r="D144" s="119">
        <f>'[1]надх'!$B$52/1000</f>
        <v>3451.1083899999967</v>
      </c>
      <c r="E144" s="77" t="s">
        <v>104</v>
      </c>
      <c r="G144" s="165"/>
      <c r="H144" s="165"/>
      <c r="I144" s="98"/>
      <c r="J144" s="99"/>
      <c r="K144" s="99"/>
      <c r="L144" s="99"/>
    </row>
    <row r="145" spans="4:15" ht="15.75">
      <c r="D145" s="114"/>
      <c r="N145" s="165"/>
      <c r="O145" s="165"/>
    </row>
    <row r="146" spans="4:15" ht="15.75">
      <c r="D146" s="113"/>
      <c r="I146" s="39"/>
      <c r="N146" s="168"/>
      <c r="O146" s="168"/>
    </row>
    <row r="147" spans="14:15" ht="15.75">
      <c r="N147" s="165"/>
      <c r="O147" s="165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11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89" t="s">
        <v>212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26"/>
      <c r="R1" s="127"/>
    </row>
    <row r="2" spans="2:18" s="1" customFormat="1" ht="15.75" customHeight="1">
      <c r="B2" s="190"/>
      <c r="C2" s="190"/>
      <c r="D2" s="19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1"/>
      <c r="B3" s="193"/>
      <c r="C3" s="194" t="s">
        <v>0</v>
      </c>
      <c r="D3" s="195" t="s">
        <v>208</v>
      </c>
      <c r="E3" s="195"/>
      <c r="F3" s="196" t="s">
        <v>107</v>
      </c>
      <c r="G3" s="197"/>
      <c r="H3" s="197"/>
      <c r="I3" s="197"/>
      <c r="J3" s="197"/>
      <c r="K3" s="197"/>
      <c r="L3" s="198"/>
      <c r="M3" s="199" t="s">
        <v>210</v>
      </c>
      <c r="N3" s="201" t="s">
        <v>198</v>
      </c>
      <c r="O3" s="201"/>
      <c r="P3" s="201"/>
      <c r="Q3" s="201"/>
      <c r="R3" s="201"/>
    </row>
    <row r="4" spans="1:18" ht="22.5" customHeight="1">
      <c r="A4" s="191"/>
      <c r="B4" s="193"/>
      <c r="C4" s="194"/>
      <c r="D4" s="195"/>
      <c r="E4" s="195"/>
      <c r="F4" s="202" t="s">
        <v>116</v>
      </c>
      <c r="G4" s="183" t="s">
        <v>207</v>
      </c>
      <c r="H4" s="185" t="s">
        <v>195</v>
      </c>
      <c r="I4" s="181" t="s">
        <v>188</v>
      </c>
      <c r="J4" s="187" t="s">
        <v>189</v>
      </c>
      <c r="K4" s="176" t="s">
        <v>196</v>
      </c>
      <c r="L4" s="177"/>
      <c r="M4" s="200"/>
      <c r="N4" s="163" t="s">
        <v>213</v>
      </c>
      <c r="O4" s="181" t="s">
        <v>136</v>
      </c>
      <c r="P4" s="181" t="s">
        <v>135</v>
      </c>
      <c r="Q4" s="176" t="s">
        <v>197</v>
      </c>
      <c r="R4" s="177"/>
    </row>
    <row r="5" spans="1:18" ht="82.5" customHeight="1">
      <c r="A5" s="192"/>
      <c r="B5" s="193"/>
      <c r="C5" s="194"/>
      <c r="D5" s="150" t="s">
        <v>209</v>
      </c>
      <c r="E5" s="158" t="s">
        <v>214</v>
      </c>
      <c r="F5" s="203"/>
      <c r="G5" s="184"/>
      <c r="H5" s="186"/>
      <c r="I5" s="182"/>
      <c r="J5" s="188"/>
      <c r="K5" s="178"/>
      <c r="L5" s="179"/>
      <c r="M5" s="151" t="s">
        <v>211</v>
      </c>
      <c r="N5" s="180"/>
      <c r="O5" s="182"/>
      <c r="P5" s="182"/>
      <c r="Q5" s="178"/>
      <c r="R5" s="17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172.6</v>
      </c>
      <c r="G102" s="144"/>
      <c r="H102" s="146"/>
      <c r="I102" s="145"/>
      <c r="J102" s="145"/>
      <c r="K102" s="148">
        <f>F102-88.6</f>
        <v>84</v>
      </c>
      <c r="L102" s="149">
        <f>F102/88.6</f>
        <v>1.9480812641083523</v>
      </c>
      <c r="M102" s="40">
        <f>E102-лютий!E102</f>
        <v>0</v>
      </c>
      <c r="N102" s="40">
        <f>F102-лютий!F102</f>
        <v>42.5</v>
      </c>
      <c r="O102" s="53"/>
      <c r="P102" s="60"/>
      <c r="Q102" s="60">
        <f>N102-31.4</f>
        <v>11.100000000000001</v>
      </c>
      <c r="R102" s="135">
        <f>N102/31.4</f>
        <v>1.3535031847133758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4"/>
      <c r="H137" s="164"/>
      <c r="I137" s="164"/>
      <c r="J137" s="16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75"/>
      <c r="O138" s="175"/>
    </row>
    <row r="139" spans="3:15" ht="15.75">
      <c r="C139" s="120">
        <v>41726</v>
      </c>
      <c r="D139" s="39">
        <v>4682.6</v>
      </c>
      <c r="F139" s="4" t="s">
        <v>166</v>
      </c>
      <c r="G139" s="171" t="s">
        <v>151</v>
      </c>
      <c r="H139" s="171"/>
      <c r="I139" s="115">
        <v>13825.22196</v>
      </c>
      <c r="J139" s="172" t="s">
        <v>161</v>
      </c>
      <c r="K139" s="172"/>
      <c r="L139" s="172"/>
      <c r="M139" s="172"/>
      <c r="N139" s="175"/>
      <c r="O139" s="175"/>
    </row>
    <row r="140" spans="3:15" ht="15.75">
      <c r="C140" s="120">
        <v>41725</v>
      </c>
      <c r="D140" s="39">
        <v>3360.7</v>
      </c>
      <c r="G140" s="173" t="s">
        <v>155</v>
      </c>
      <c r="H140" s="173"/>
      <c r="I140" s="112">
        <v>0</v>
      </c>
      <c r="J140" s="174" t="s">
        <v>162</v>
      </c>
      <c r="K140" s="174"/>
      <c r="L140" s="174"/>
      <c r="M140" s="174"/>
      <c r="N140" s="175"/>
      <c r="O140" s="175"/>
    </row>
    <row r="141" spans="7:13" ht="15.75" customHeight="1">
      <c r="G141" s="171" t="s">
        <v>148</v>
      </c>
      <c r="H141" s="171"/>
      <c r="I141" s="112">
        <v>0</v>
      </c>
      <c r="J141" s="172" t="s">
        <v>163</v>
      </c>
      <c r="K141" s="172"/>
      <c r="L141" s="172"/>
      <c r="M141" s="172"/>
    </row>
    <row r="142" spans="2:13" ht="18.75" customHeight="1">
      <c r="B142" s="169" t="s">
        <v>160</v>
      </c>
      <c r="C142" s="170"/>
      <c r="D142" s="117">
        <v>114985.02570999999</v>
      </c>
      <c r="E142" s="80"/>
      <c r="F142" s="100" t="s">
        <v>147</v>
      </c>
      <c r="G142" s="171" t="s">
        <v>149</v>
      </c>
      <c r="H142" s="171"/>
      <c r="I142" s="116">
        <v>101159.80375</v>
      </c>
      <c r="J142" s="172" t="s">
        <v>164</v>
      </c>
      <c r="K142" s="172"/>
      <c r="L142" s="172"/>
      <c r="M142" s="172"/>
    </row>
    <row r="143" spans="7:12" ht="9.75" customHeight="1">
      <c r="G143" s="165"/>
      <c r="H143" s="165"/>
      <c r="I143" s="98"/>
      <c r="J143" s="99"/>
      <c r="K143" s="99"/>
      <c r="L143" s="99"/>
    </row>
    <row r="144" spans="2:12" ht="22.5" customHeight="1">
      <c r="B144" s="166" t="s">
        <v>169</v>
      </c>
      <c r="C144" s="167"/>
      <c r="D144" s="119">
        <v>3918.1</v>
      </c>
      <c r="E144" s="77" t="s">
        <v>104</v>
      </c>
      <c r="G144" s="165"/>
      <c r="H144" s="165"/>
      <c r="I144" s="98"/>
      <c r="J144" s="99"/>
      <c r="K144" s="99"/>
      <c r="L144" s="99"/>
    </row>
    <row r="145" spans="4:15" ht="15.75">
      <c r="D145" s="114"/>
      <c r="N145" s="165"/>
      <c r="O145" s="165"/>
    </row>
    <row r="146" spans="4:15" ht="15.75">
      <c r="D146" s="113"/>
      <c r="I146" s="39"/>
      <c r="N146" s="168"/>
      <c r="O146" s="168"/>
    </row>
    <row r="147" spans="14:15" ht="15.75">
      <c r="N147" s="165"/>
      <c r="O147" s="165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22" sqref="E12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89" t="s">
        <v>193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26"/>
      <c r="R1" s="127"/>
    </row>
    <row r="2" spans="2:18" s="1" customFormat="1" ht="15.75" customHeight="1">
      <c r="B2" s="190"/>
      <c r="C2" s="190"/>
      <c r="D2" s="19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1"/>
      <c r="B3" s="193"/>
      <c r="C3" s="194" t="s">
        <v>0</v>
      </c>
      <c r="D3" s="213" t="s">
        <v>187</v>
      </c>
      <c r="E3" s="46"/>
      <c r="F3" s="214" t="s">
        <v>107</v>
      </c>
      <c r="G3" s="215"/>
      <c r="H3" s="215"/>
      <c r="I3" s="215"/>
      <c r="J3" s="216"/>
      <c r="K3" s="123"/>
      <c r="L3" s="123"/>
      <c r="M3" s="217" t="s">
        <v>190</v>
      </c>
      <c r="N3" s="208" t="s">
        <v>185</v>
      </c>
      <c r="O3" s="208"/>
      <c r="P3" s="208"/>
      <c r="Q3" s="208"/>
      <c r="R3" s="208"/>
    </row>
    <row r="4" spans="1:18" ht="22.5" customHeight="1">
      <c r="A4" s="191"/>
      <c r="B4" s="193"/>
      <c r="C4" s="194"/>
      <c r="D4" s="213"/>
      <c r="E4" s="218" t="s">
        <v>191</v>
      </c>
      <c r="F4" s="209" t="s">
        <v>116</v>
      </c>
      <c r="G4" s="211" t="s">
        <v>167</v>
      </c>
      <c r="H4" s="185" t="s">
        <v>168</v>
      </c>
      <c r="I4" s="206" t="s">
        <v>188</v>
      </c>
      <c r="J4" s="204" t="s">
        <v>189</v>
      </c>
      <c r="K4" s="125" t="s">
        <v>174</v>
      </c>
      <c r="L4" s="130" t="s">
        <v>173</v>
      </c>
      <c r="M4" s="217"/>
      <c r="N4" s="163" t="s">
        <v>194</v>
      </c>
      <c r="O4" s="206" t="s">
        <v>136</v>
      </c>
      <c r="P4" s="208" t="s">
        <v>135</v>
      </c>
      <c r="Q4" s="131" t="s">
        <v>174</v>
      </c>
      <c r="R4" s="132" t="s">
        <v>173</v>
      </c>
    </row>
    <row r="5" spans="1:18" ht="82.5" customHeight="1">
      <c r="A5" s="192"/>
      <c r="B5" s="193"/>
      <c r="C5" s="194"/>
      <c r="D5" s="213"/>
      <c r="E5" s="219"/>
      <c r="F5" s="210"/>
      <c r="G5" s="212"/>
      <c r="H5" s="186"/>
      <c r="I5" s="207"/>
      <c r="J5" s="205"/>
      <c r="K5" s="178" t="s">
        <v>184</v>
      </c>
      <c r="L5" s="179"/>
      <c r="M5" s="217"/>
      <c r="N5" s="180"/>
      <c r="O5" s="207"/>
      <c r="P5" s="208"/>
      <c r="Q5" s="178" t="s">
        <v>199</v>
      </c>
      <c r="R5" s="17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4"/>
      <c r="H137" s="164"/>
      <c r="I137" s="164"/>
      <c r="J137" s="16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75"/>
      <c r="O138" s="175"/>
    </row>
    <row r="139" spans="3:15" ht="15.75">
      <c r="C139" s="120">
        <v>41697</v>
      </c>
      <c r="D139" s="39">
        <v>2276.8</v>
      </c>
      <c r="F139" s="4" t="s">
        <v>166</v>
      </c>
      <c r="G139" s="171" t="s">
        <v>151</v>
      </c>
      <c r="H139" s="171"/>
      <c r="I139" s="115">
        <v>13825.22</v>
      </c>
      <c r="J139" s="172" t="s">
        <v>161</v>
      </c>
      <c r="K139" s="172"/>
      <c r="L139" s="172"/>
      <c r="M139" s="172"/>
      <c r="N139" s="175"/>
      <c r="O139" s="175"/>
    </row>
    <row r="140" spans="3:15" ht="15.75">
      <c r="C140" s="120">
        <v>41696</v>
      </c>
      <c r="D140" s="39">
        <v>3746.1</v>
      </c>
      <c r="G140" s="173" t="s">
        <v>155</v>
      </c>
      <c r="H140" s="173"/>
      <c r="I140" s="112">
        <v>0</v>
      </c>
      <c r="J140" s="174" t="s">
        <v>162</v>
      </c>
      <c r="K140" s="174"/>
      <c r="L140" s="174"/>
      <c r="M140" s="174"/>
      <c r="N140" s="175"/>
      <c r="O140" s="175"/>
    </row>
    <row r="141" spans="7:13" ht="15.75" customHeight="1">
      <c r="G141" s="171" t="s">
        <v>148</v>
      </c>
      <c r="H141" s="171"/>
      <c r="I141" s="112">
        <f>'[1]залишки  (2)'!$G$8/1000</f>
        <v>0</v>
      </c>
      <c r="J141" s="172" t="s">
        <v>163</v>
      </c>
      <c r="K141" s="172"/>
      <c r="L141" s="172"/>
      <c r="M141" s="172"/>
    </row>
    <row r="142" spans="2:13" ht="18.75" customHeight="1">
      <c r="B142" s="169" t="s">
        <v>160</v>
      </c>
      <c r="C142" s="170"/>
      <c r="D142" s="117">
        <v>121970.53</v>
      </c>
      <c r="E142" s="80"/>
      <c r="F142" s="100" t="s">
        <v>147</v>
      </c>
      <c r="G142" s="171" t="s">
        <v>149</v>
      </c>
      <c r="H142" s="171"/>
      <c r="I142" s="116">
        <v>108145.31</v>
      </c>
      <c r="J142" s="172" t="s">
        <v>164</v>
      </c>
      <c r="K142" s="172"/>
      <c r="L142" s="172"/>
      <c r="M142" s="172"/>
    </row>
    <row r="143" spans="7:12" ht="9.75" customHeight="1">
      <c r="G143" s="165"/>
      <c r="H143" s="165"/>
      <c r="I143" s="98"/>
      <c r="J143" s="99"/>
      <c r="K143" s="99"/>
      <c r="L143" s="99"/>
    </row>
    <row r="144" spans="2:12" ht="22.5" customHeight="1">
      <c r="B144" s="166" t="s">
        <v>169</v>
      </c>
      <c r="C144" s="167"/>
      <c r="D144" s="119">
        <v>0</v>
      </c>
      <c r="E144" s="77" t="s">
        <v>104</v>
      </c>
      <c r="G144" s="165"/>
      <c r="H144" s="165"/>
      <c r="I144" s="98"/>
      <c r="J144" s="99"/>
      <c r="K144" s="99"/>
      <c r="L144" s="99"/>
    </row>
    <row r="145" spans="4:15" ht="15.75">
      <c r="D145" s="114"/>
      <c r="N145" s="165"/>
      <c r="O145" s="165"/>
    </row>
    <row r="146" spans="4:15" ht="15.75">
      <c r="D146" s="113"/>
      <c r="I146" s="39"/>
      <c r="N146" s="168"/>
      <c r="O146" s="168"/>
    </row>
    <row r="147" spans="14:15" ht="15.75">
      <c r="N147" s="165"/>
      <c r="O147" s="165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89" t="s">
        <v>183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26"/>
      <c r="R1" s="127"/>
    </row>
    <row r="2" spans="2:18" s="1" customFormat="1" ht="15.75" customHeight="1">
      <c r="B2" s="190"/>
      <c r="C2" s="190"/>
      <c r="D2" s="190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1"/>
      <c r="B3" s="193"/>
      <c r="C3" s="194" t="s">
        <v>0</v>
      </c>
      <c r="D3" s="213" t="s">
        <v>192</v>
      </c>
      <c r="E3" s="46"/>
      <c r="F3" s="214" t="s">
        <v>107</v>
      </c>
      <c r="G3" s="215"/>
      <c r="H3" s="215"/>
      <c r="I3" s="215"/>
      <c r="J3" s="216"/>
      <c r="K3" s="123"/>
      <c r="L3" s="123"/>
      <c r="M3" s="187" t="s">
        <v>200</v>
      </c>
      <c r="N3" s="208" t="s">
        <v>178</v>
      </c>
      <c r="O3" s="208"/>
      <c r="P3" s="208"/>
      <c r="Q3" s="208"/>
      <c r="R3" s="208"/>
    </row>
    <row r="4" spans="1:18" ht="22.5" customHeight="1">
      <c r="A4" s="191"/>
      <c r="B4" s="193"/>
      <c r="C4" s="194"/>
      <c r="D4" s="213"/>
      <c r="E4" s="218" t="s">
        <v>153</v>
      </c>
      <c r="F4" s="209" t="s">
        <v>116</v>
      </c>
      <c r="G4" s="211" t="s">
        <v>175</v>
      </c>
      <c r="H4" s="185" t="s">
        <v>176</v>
      </c>
      <c r="I4" s="206" t="s">
        <v>188</v>
      </c>
      <c r="J4" s="204" t="s">
        <v>189</v>
      </c>
      <c r="K4" s="125" t="s">
        <v>174</v>
      </c>
      <c r="L4" s="130" t="s">
        <v>173</v>
      </c>
      <c r="M4" s="220"/>
      <c r="N4" s="163" t="s">
        <v>186</v>
      </c>
      <c r="O4" s="206" t="s">
        <v>136</v>
      </c>
      <c r="P4" s="208" t="s">
        <v>135</v>
      </c>
      <c r="Q4" s="131" t="s">
        <v>174</v>
      </c>
      <c r="R4" s="132" t="s">
        <v>173</v>
      </c>
    </row>
    <row r="5" spans="1:18" ht="82.5" customHeight="1">
      <c r="A5" s="192"/>
      <c r="B5" s="193"/>
      <c r="C5" s="194"/>
      <c r="D5" s="213"/>
      <c r="E5" s="219"/>
      <c r="F5" s="210"/>
      <c r="G5" s="212"/>
      <c r="H5" s="186"/>
      <c r="I5" s="207"/>
      <c r="J5" s="205"/>
      <c r="K5" s="178" t="s">
        <v>177</v>
      </c>
      <c r="L5" s="179"/>
      <c r="M5" s="188"/>
      <c r="N5" s="180"/>
      <c r="O5" s="207"/>
      <c r="P5" s="208"/>
      <c r="Q5" s="178" t="s">
        <v>179</v>
      </c>
      <c r="R5" s="179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64"/>
      <c r="H137" s="164"/>
      <c r="I137" s="164"/>
      <c r="J137" s="164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75"/>
      <c r="O138" s="175"/>
    </row>
    <row r="139" spans="3:15" ht="15.75">
      <c r="C139" s="120">
        <v>41669</v>
      </c>
      <c r="D139" s="39">
        <v>4752.2</v>
      </c>
      <c r="F139" s="4" t="s">
        <v>166</v>
      </c>
      <c r="G139" s="171" t="s">
        <v>151</v>
      </c>
      <c r="H139" s="171"/>
      <c r="I139" s="115">
        <v>13825.22</v>
      </c>
      <c r="J139" s="172" t="s">
        <v>161</v>
      </c>
      <c r="K139" s="172"/>
      <c r="L139" s="172"/>
      <c r="M139" s="172"/>
      <c r="N139" s="175"/>
      <c r="O139" s="175"/>
    </row>
    <row r="140" spans="3:15" ht="15.75">
      <c r="C140" s="120">
        <v>41668</v>
      </c>
      <c r="D140" s="39">
        <v>1984.7</v>
      </c>
      <c r="G140" s="173" t="s">
        <v>155</v>
      </c>
      <c r="H140" s="173"/>
      <c r="I140" s="112">
        <v>0</v>
      </c>
      <c r="J140" s="174" t="s">
        <v>162</v>
      </c>
      <c r="K140" s="174"/>
      <c r="L140" s="174"/>
      <c r="M140" s="174"/>
      <c r="N140" s="175"/>
      <c r="O140" s="175"/>
    </row>
    <row r="141" spans="7:13" ht="15.75" customHeight="1">
      <c r="G141" s="171" t="s">
        <v>148</v>
      </c>
      <c r="H141" s="171"/>
      <c r="I141" s="112">
        <v>0</v>
      </c>
      <c r="J141" s="172" t="s">
        <v>163</v>
      </c>
      <c r="K141" s="172"/>
      <c r="L141" s="172"/>
      <c r="M141" s="172"/>
    </row>
    <row r="142" spans="2:13" ht="18.75" customHeight="1">
      <c r="B142" s="169" t="s">
        <v>160</v>
      </c>
      <c r="C142" s="170"/>
      <c r="D142" s="117">
        <v>111410.62</v>
      </c>
      <c r="E142" s="80"/>
      <c r="F142" s="100" t="s">
        <v>147</v>
      </c>
      <c r="G142" s="171" t="s">
        <v>149</v>
      </c>
      <c r="H142" s="171"/>
      <c r="I142" s="116">
        <v>97585.4</v>
      </c>
      <c r="J142" s="172" t="s">
        <v>164</v>
      </c>
      <c r="K142" s="172"/>
      <c r="L142" s="172"/>
      <c r="M142" s="172"/>
    </row>
    <row r="143" spans="7:12" ht="9.75" customHeight="1">
      <c r="G143" s="165"/>
      <c r="H143" s="165"/>
      <c r="I143" s="98"/>
      <c r="J143" s="99"/>
      <c r="K143" s="99"/>
      <c r="L143" s="99"/>
    </row>
    <row r="144" spans="2:12" ht="22.5" customHeight="1">
      <c r="B144" s="166" t="s">
        <v>169</v>
      </c>
      <c r="C144" s="167"/>
      <c r="D144" s="119">
        <v>0</v>
      </c>
      <c r="E144" s="77" t="s">
        <v>104</v>
      </c>
      <c r="G144" s="165"/>
      <c r="H144" s="165"/>
      <c r="I144" s="98"/>
      <c r="J144" s="99"/>
      <c r="K144" s="99"/>
      <c r="L144" s="99"/>
    </row>
    <row r="145" spans="4:15" ht="15.75">
      <c r="D145" s="114"/>
      <c r="N145" s="165"/>
      <c r="O145" s="165"/>
    </row>
    <row r="146" spans="4:15" ht="15.75">
      <c r="D146" s="113"/>
      <c r="I146" s="39"/>
      <c r="N146" s="168"/>
      <c r="O146" s="168"/>
    </row>
    <row r="147" spans="14:15" ht="15.75">
      <c r="N147" s="165"/>
      <c r="O147" s="165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2014-05-27T09:51:18Z</cp:lastPrinted>
  <dcterms:created xsi:type="dcterms:W3CDTF">2003-07-28T11:27:56Z</dcterms:created>
  <dcterms:modified xsi:type="dcterms:W3CDTF">2014-05-27T09:51:59Z</dcterms:modified>
  <cp:category/>
  <cp:version/>
  <cp:contentType/>
  <cp:contentStatus/>
</cp:coreProperties>
</file>